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8 класс" sheetId="5" r:id="rId1"/>
    <sheet name="9 класс" sheetId="6" r:id="rId2"/>
  </sheets>
  <definedNames>
    <definedName name="_xlnm._FilterDatabase" localSheetId="0" hidden="1">'8 класс'!$A$18:$N$20</definedName>
    <definedName name="_xlnm._FilterDatabase" localSheetId="1" hidden="1">'9 класс'!$A$18:$N$20</definedName>
  </definedNames>
  <calcPr calcId="145621"/>
</workbook>
</file>

<file path=xl/calcChain.xml><?xml version="1.0" encoding="utf-8"?>
<calcChain xmlns="http://schemas.openxmlformats.org/spreadsheetml/2006/main">
  <c r="E16" i="6" l="1"/>
  <c r="D16" i="6"/>
  <c r="C15" i="6"/>
  <c r="J15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C8" i="6"/>
  <c r="J8" i="6" s="1"/>
  <c r="E16" i="5"/>
  <c r="D16" i="5"/>
  <c r="C15" i="5"/>
  <c r="J15" i="5" s="1"/>
  <c r="C14" i="5"/>
  <c r="J14" i="5" s="1"/>
  <c r="C13" i="5"/>
  <c r="J13" i="5" s="1"/>
  <c r="C12" i="5"/>
  <c r="J12" i="5" s="1"/>
  <c r="C11" i="5"/>
  <c r="J11" i="5" s="1"/>
  <c r="C10" i="5"/>
  <c r="J10" i="5" s="1"/>
  <c r="C9" i="5"/>
  <c r="J9" i="5" s="1"/>
  <c r="C8" i="5"/>
  <c r="J8" i="5" s="1"/>
  <c r="Z21" i="6"/>
  <c r="AA21" i="6"/>
  <c r="AB21" i="6"/>
  <c r="AC21" i="6"/>
  <c r="AD21" i="6"/>
  <c r="AE21" i="6"/>
  <c r="AF21" i="6"/>
  <c r="AI21" i="6" s="1"/>
  <c r="AJ21" i="6" s="1"/>
  <c r="AG21" i="6"/>
  <c r="AH21" i="6"/>
  <c r="Z20" i="6"/>
  <c r="AA20" i="6"/>
  <c r="AB20" i="6"/>
  <c r="AC20" i="6"/>
  <c r="AD20" i="6"/>
  <c r="AE20" i="6"/>
  <c r="AG20" i="6"/>
  <c r="AH20" i="6"/>
  <c r="AH19" i="6"/>
  <c r="AG19" i="6"/>
  <c r="AE19" i="6"/>
  <c r="AD19" i="6"/>
  <c r="AC19" i="6"/>
  <c r="AB19" i="6"/>
  <c r="AA19" i="6"/>
  <c r="Z19" i="6"/>
  <c r="AF19" i="6"/>
  <c r="AF20" i="6"/>
  <c r="Z20" i="5"/>
  <c r="AA20" i="5"/>
  <c r="AB20" i="5"/>
  <c r="AC20" i="5"/>
  <c r="AD20" i="5"/>
  <c r="AF20" i="5"/>
  <c r="AG20" i="5"/>
  <c r="AH20" i="5"/>
  <c r="Z21" i="5"/>
  <c r="AA21" i="5"/>
  <c r="AB21" i="5"/>
  <c r="AC21" i="5"/>
  <c r="AD21" i="5"/>
  <c r="AE21" i="5"/>
  <c r="AF21" i="5"/>
  <c r="AG21" i="5"/>
  <c r="AH21" i="5"/>
  <c r="AI21" i="5"/>
  <c r="AJ21" i="5" s="1"/>
  <c r="AE20" i="5"/>
  <c r="AH19" i="5"/>
  <c r="AG19" i="5"/>
  <c r="AF19" i="5"/>
  <c r="AD19" i="5"/>
  <c r="AC19" i="5"/>
  <c r="AB19" i="5"/>
  <c r="AA19" i="5"/>
  <c r="Z19" i="5"/>
  <c r="E9" i="5" s="1"/>
  <c r="AE19" i="5"/>
  <c r="D15" i="6" l="1"/>
  <c r="D10" i="6"/>
  <c r="E11" i="6"/>
  <c r="E12" i="6"/>
  <c r="E13" i="6"/>
  <c r="E14" i="6"/>
  <c r="E15" i="6"/>
  <c r="J16" i="6"/>
  <c r="D9" i="6"/>
  <c r="E10" i="6"/>
  <c r="G10" i="6" s="1"/>
  <c r="D8" i="6"/>
  <c r="E9" i="6"/>
  <c r="F16" i="6"/>
  <c r="E8" i="6"/>
  <c r="D11" i="6"/>
  <c r="G11" i="6" s="1"/>
  <c r="D12" i="6"/>
  <c r="D13" i="6"/>
  <c r="D14" i="6"/>
  <c r="F14" i="6" s="1"/>
  <c r="F16" i="5"/>
  <c r="E8" i="5"/>
  <c r="D11" i="5"/>
  <c r="D12" i="5"/>
  <c r="D13" i="5"/>
  <c r="D14" i="5"/>
  <c r="D15" i="5"/>
  <c r="D10" i="5"/>
  <c r="E11" i="5"/>
  <c r="E12" i="5"/>
  <c r="E13" i="5"/>
  <c r="E14" i="5"/>
  <c r="E15" i="5"/>
  <c r="J16" i="5"/>
  <c r="D9" i="5"/>
  <c r="F9" i="5" s="1"/>
  <c r="E10" i="5"/>
  <c r="G10" i="5" s="1"/>
  <c r="D8" i="5"/>
  <c r="C16" i="6"/>
  <c r="C16" i="5"/>
  <c r="AI19" i="6"/>
  <c r="AJ19" i="6" s="1"/>
  <c r="AI20" i="6"/>
  <c r="AJ20" i="6" s="1"/>
  <c r="AI20" i="5"/>
  <c r="AJ20" i="5" s="1"/>
  <c r="M19" i="6"/>
  <c r="G15" i="5" l="1"/>
  <c r="G11" i="5"/>
  <c r="F13" i="6"/>
  <c r="G13" i="6"/>
  <c r="F15" i="6"/>
  <c r="F8" i="5"/>
  <c r="G14" i="5"/>
  <c r="G9" i="5"/>
  <c r="F9" i="6"/>
  <c r="F8" i="6"/>
  <c r="G8" i="6"/>
  <c r="G9" i="6"/>
  <c r="F12" i="6"/>
  <c r="G14" i="6"/>
  <c r="F10" i="6"/>
  <c r="G15" i="6"/>
  <c r="F11" i="6"/>
  <c r="G12" i="6"/>
  <c r="G13" i="5"/>
  <c r="F12" i="5"/>
  <c r="G8" i="5"/>
  <c r="F15" i="5"/>
  <c r="F11" i="5"/>
  <c r="F10" i="5"/>
  <c r="G12" i="5"/>
  <c r="F14" i="5"/>
  <c r="F13" i="5"/>
  <c r="M20" i="6"/>
  <c r="AI19" i="5"/>
  <c r="AJ19" i="5" s="1"/>
  <c r="G16" i="6" l="1"/>
  <c r="G16" i="5"/>
  <c r="AI15" i="6"/>
  <c r="AJ15" i="6"/>
  <c r="AI14" i="6"/>
  <c r="AJ14" i="6"/>
  <c r="AI13" i="6"/>
  <c r="AJ13" i="6"/>
  <c r="AI12" i="6"/>
  <c r="AJ12" i="6"/>
  <c r="AI11" i="6"/>
  <c r="AJ11" i="6"/>
  <c r="AI10" i="6"/>
  <c r="AJ10" i="6"/>
  <c r="AI9" i="6"/>
  <c r="AJ9" i="6"/>
  <c r="AI8" i="6"/>
  <c r="AI15" i="5"/>
  <c r="AJ15" i="5"/>
  <c r="AI14" i="5"/>
  <c r="AJ14" i="5"/>
  <c r="AI13" i="5"/>
  <c r="AJ13" i="5"/>
  <c r="AI12" i="5"/>
  <c r="AJ12" i="5"/>
  <c r="AI11" i="5"/>
  <c r="AJ11" i="5"/>
  <c r="AI10" i="5"/>
  <c r="AJ10" i="5"/>
  <c r="AI9" i="5"/>
  <c r="AJ9" i="5"/>
  <c r="AI8" i="5"/>
  <c r="AJ8" i="6" l="1"/>
  <c r="AJ8" i="5"/>
</calcChain>
</file>

<file path=xl/sharedStrings.xml><?xml version="1.0" encoding="utf-8"?>
<sst xmlns="http://schemas.openxmlformats.org/spreadsheetml/2006/main" count="139" uniqueCount="70">
  <si>
    <t>№ п/п</t>
  </si>
  <si>
    <t>Район (код территории)</t>
  </si>
  <si>
    <t>Фамилия</t>
  </si>
  <si>
    <t>Имя</t>
  </si>
  <si>
    <t>Отчество</t>
  </si>
  <si>
    <t>Шифр</t>
  </si>
  <si>
    <t>ОО</t>
  </si>
  <si>
    <t>ФИО педагога (полностью)</t>
  </si>
  <si>
    <t>Класс</t>
  </si>
  <si>
    <t>Параллель, задания для которой выполнял участник</t>
  </si>
  <si>
    <t>Балл</t>
  </si>
  <si>
    <t>% от макс.</t>
  </si>
  <si>
    <t>Рейтинг</t>
  </si>
  <si>
    <t>Статус</t>
  </si>
  <si>
    <t>Данные об участниках</t>
  </si>
  <si>
    <t>Max балл</t>
  </si>
  <si>
    <t>Квота</t>
  </si>
  <si>
    <t>всего участий</t>
  </si>
  <si>
    <t>победитель</t>
  </si>
  <si>
    <t>призер</t>
  </si>
  <si>
    <t>всего ПиП</t>
  </si>
  <si>
    <t>участник</t>
  </si>
  <si>
    <t>ПиП всего</t>
  </si>
  <si>
    <t>класс</t>
  </si>
  <si>
    <t>всего</t>
  </si>
  <si>
    <t>Попов</t>
  </si>
  <si>
    <t>Вениамин</t>
  </si>
  <si>
    <t>Ильич</t>
  </si>
  <si>
    <t>МОУ СОШ № 7</t>
  </si>
  <si>
    <t>Гатин</t>
  </si>
  <si>
    <t>Ленар</t>
  </si>
  <si>
    <t>Ринатович</t>
  </si>
  <si>
    <t>Байбородов</t>
  </si>
  <si>
    <t>Кирилл</t>
  </si>
  <si>
    <t>Максимович</t>
  </si>
  <si>
    <t>Капитанова</t>
  </si>
  <si>
    <t>Анастасия</t>
  </si>
  <si>
    <t>Сергеевна</t>
  </si>
  <si>
    <t>Зубцова</t>
  </si>
  <si>
    <t>Кира</t>
  </si>
  <si>
    <t>Дмитриевна</t>
  </si>
  <si>
    <t>Соловьев</t>
  </si>
  <si>
    <t>Федор</t>
  </si>
  <si>
    <t>Александрович</t>
  </si>
  <si>
    <t>Заболотских</t>
  </si>
  <si>
    <t>Анна</t>
  </si>
  <si>
    <t>Юрьевна</t>
  </si>
  <si>
    <t>Маматов</t>
  </si>
  <si>
    <t>Александр</t>
  </si>
  <si>
    <t>Каргаполова</t>
  </si>
  <si>
    <t>Бурмистрова</t>
  </si>
  <si>
    <t>Ярославна</t>
  </si>
  <si>
    <t>МОУ Лицей</t>
  </si>
  <si>
    <t>Тишкова</t>
  </si>
  <si>
    <t>Екатерина</t>
  </si>
  <si>
    <t>Победитель</t>
  </si>
  <si>
    <t>Призер</t>
  </si>
  <si>
    <t>Участник</t>
  </si>
  <si>
    <t>Неявка</t>
  </si>
  <si>
    <t>Парамонова</t>
  </si>
  <si>
    <t>Светлана</t>
  </si>
  <si>
    <t>Павловна</t>
  </si>
  <si>
    <t>Бабушкина</t>
  </si>
  <si>
    <t>Ева</t>
  </si>
  <si>
    <t>Евгеньевна</t>
  </si>
  <si>
    <t>Куфтарева</t>
  </si>
  <si>
    <t>Виолетта</t>
  </si>
  <si>
    <t>Гамеза</t>
  </si>
  <si>
    <t>Алексей</t>
  </si>
  <si>
    <t>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</si>
</sst>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/>
    <xf numFmtId="1" fontId="3" fillId="0" borderId="0" xfId="0" applyNumberFormat="1" applyFont="1" applyAlignment="1"/>
    <xf numFmtId="1" fontId="3" fillId="0" borderId="2" xfId="0" applyNumberFormat="1" applyFont="1" applyBorder="1" applyAlignment="1">
      <alignment wrapText="1"/>
    </xf>
    <xf numFmtId="1" fontId="3" fillId="0" borderId="2" xfId="0" applyNumberFormat="1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/>
    <xf numFmtId="1" fontId="3" fillId="0" borderId="5" xfId="0" applyNumberFormat="1" applyFont="1" applyFill="1" applyBorder="1" applyAlignment="1"/>
    <xf numFmtId="1" fontId="3" fillId="0" borderId="7" xfId="0" applyNumberFormat="1" applyFont="1" applyFill="1" applyBorder="1" applyAlignment="1"/>
    <xf numFmtId="0" fontId="3" fillId="0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3" fillId="0" borderId="6" xfId="0" applyNumberFormat="1" applyFont="1" applyFill="1" applyBorder="1" applyAlignment="1"/>
    <xf numFmtId="0" fontId="2" fillId="0" borderId="2" xfId="0" applyFont="1" applyFill="1" applyBorder="1" applyAlignment="1">
      <alignment horizontal="right" vertical="top"/>
    </xf>
    <xf numFmtId="0" fontId="3" fillId="0" borderId="9" xfId="0" applyFont="1" applyFill="1" applyBorder="1" applyAlignment="1"/>
    <xf numFmtId="1" fontId="3" fillId="0" borderId="5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29"/>
  <sheetViews>
    <sheetView tabSelected="1" zoomScale="90" zoomScaleNormal="90" workbookViewId="0">
      <selection activeCell="A6" sqref="A6:B7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0"/>
      <c r="B6" s="31"/>
      <c r="C6" s="28" t="s">
        <v>14</v>
      </c>
      <c r="D6" s="34"/>
      <c r="E6" s="34"/>
      <c r="F6" s="34"/>
      <c r="G6" s="29"/>
      <c r="H6" s="35" t="s">
        <v>15</v>
      </c>
      <c r="I6" s="37" t="s">
        <v>16</v>
      </c>
      <c r="J6" s="38"/>
    </row>
    <row r="7" spans="1:36" ht="15" customHeight="1" x14ac:dyDescent="0.25">
      <c r="A7" s="32"/>
      <c r="B7" s="3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6"/>
      <c r="I7" s="39" t="s">
        <v>22</v>
      </c>
      <c r="J7" s="40"/>
    </row>
    <row r="8" spans="1:36" x14ac:dyDescent="0.25">
      <c r="A8" s="15">
        <v>4</v>
      </c>
      <c r="B8" s="16" t="s">
        <v>23</v>
      </c>
      <c r="C8" s="17">
        <f>COUNTIF(J19:J857,4)</f>
        <v>0</v>
      </c>
      <c r="D8" s="17">
        <f>COUNTIF($Z$19:$Z$857,5)</f>
        <v>0</v>
      </c>
      <c r="E8" s="17">
        <f>COUNTIF($Z$19:$Z$857,104)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COUNTIF(J19:J858,5)</f>
        <v>0</v>
      </c>
      <c r="D9" s="17">
        <f>COUNTIF($Z$19:$Z$857,6)</f>
        <v>0</v>
      </c>
      <c r="E9" s="17">
        <f>COUNTIF($Z$19:$Z$857,105)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COUNTIF(J19:J859,6)</f>
        <v>0</v>
      </c>
      <c r="D10" s="17">
        <f>COUNTIF($Z$19:$Z$857,7)</f>
        <v>0</v>
      </c>
      <c r="E10" s="17">
        <f>COUNTIF($Z$19:$Z$857,106)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COUNTIF(J19:J860,7)</f>
        <v>0</v>
      </c>
      <c r="D11" s="17">
        <f>COUNTIF($Z$19:$Z$857,8)</f>
        <v>0</v>
      </c>
      <c r="E11" s="17">
        <f>COUNTIF($Z$19:$Z$857,107)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COUNTIF(J19:J861,8)</f>
        <v>11</v>
      </c>
      <c r="D12" s="17">
        <f>COUNTIF($Z$19:$Z$857,9)</f>
        <v>1</v>
      </c>
      <c r="E12" s="17">
        <f>COUNTIF($Z$19:$Z$857,108)</f>
        <v>1</v>
      </c>
      <c r="F12" s="17">
        <f t="shared" si="2"/>
        <v>2</v>
      </c>
      <c r="G12" s="15">
        <f t="shared" si="0"/>
        <v>9</v>
      </c>
      <c r="H12" s="21"/>
      <c r="I12" s="22"/>
      <c r="J12" s="19">
        <f t="shared" si="1"/>
        <v>5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5</v>
      </c>
    </row>
    <row r="13" spans="1:36" x14ac:dyDescent="0.25">
      <c r="A13" s="15">
        <v>9</v>
      </c>
      <c r="B13" s="16" t="s">
        <v>23</v>
      </c>
      <c r="C13" s="17">
        <f>COUNTIF(J19:J862,9)</f>
        <v>0</v>
      </c>
      <c r="D13" s="17">
        <f>COUNTIF($Z$19:$Z$857,10)</f>
        <v>0</v>
      </c>
      <c r="E13" s="17">
        <f>COUNTIF($Z$19:$Z$857,109)</f>
        <v>0</v>
      </c>
      <c r="F13" s="17">
        <f t="shared" si="2"/>
        <v>0</v>
      </c>
      <c r="G13" s="15">
        <f t="shared" si="0"/>
        <v>0</v>
      </c>
      <c r="H13" s="21"/>
      <c r="I13" s="22"/>
      <c r="J13" s="19">
        <f t="shared" si="1"/>
        <v>0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0</v>
      </c>
    </row>
    <row r="14" spans="1:36" x14ac:dyDescent="0.25">
      <c r="A14" s="15">
        <v>10</v>
      </c>
      <c r="B14" s="16" t="s">
        <v>23</v>
      </c>
      <c r="C14" s="17">
        <f>COUNTIF(J19:J863,10)</f>
        <v>0</v>
      </c>
      <c r="D14" s="17">
        <f>COUNTIF($Z$19:$Z$857,11)</f>
        <v>0</v>
      </c>
      <c r="E14" s="17">
        <f>COUNTIF($Z$19:$Z$857,110)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COUNTIF(J19:J864,11)</f>
        <v>0</v>
      </c>
      <c r="D15" s="17">
        <f>COUNTIF($Z$19:$Z$857,12)</f>
        <v>0</v>
      </c>
      <c r="E15" s="17">
        <f>COUNTIF($Z$19:$Z$857,111)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8" t="s">
        <v>24</v>
      </c>
      <c r="B16" s="29"/>
      <c r="C16" s="17">
        <f>SUM(C8:C15)</f>
        <v>11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9</v>
      </c>
      <c r="H16" s="24"/>
      <c r="I16" s="25"/>
      <c r="J16" s="26">
        <f>SUM(J8:J15)</f>
        <v>5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25</v>
      </c>
      <c r="D19" s="9" t="s">
        <v>26</v>
      </c>
      <c r="E19" s="9" t="s">
        <v>27</v>
      </c>
      <c r="F19" s="9">
        <v>3864027507</v>
      </c>
      <c r="G19" s="9" t="s">
        <v>28</v>
      </c>
      <c r="H19" s="5"/>
      <c r="I19" s="6">
        <v>8</v>
      </c>
      <c r="J19" s="6">
        <v>8</v>
      </c>
      <c r="K19" s="9">
        <v>51</v>
      </c>
      <c r="L19" s="7"/>
      <c r="M19" s="41">
        <v>1</v>
      </c>
      <c r="N19" s="9" t="s">
        <v>55</v>
      </c>
      <c r="Z19" s="10">
        <f>IF(N19="победитель",1+J19,IF(N19="призер",100+J19,""))</f>
        <v>9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>
        <f>IF(J19=8,L19,"")</f>
        <v>0</v>
      </c>
      <c r="AF19" s="10" t="str">
        <f>IF(J19=9,L19,"")</f>
        <v/>
      </c>
      <c r="AG19" s="10" t="str">
        <f>IF(J19=10,L19,"")</f>
        <v/>
      </c>
      <c r="AH19" s="10" t="str">
        <f>IF(J19=11,L19,"")</f>
        <v/>
      </c>
      <c r="AI19" s="13" t="str">
        <f>IF(J19=4,RANK(L19,$AA$19:$AA$332,0),"")&amp;IF(J19=5,RANK(L19,$AB$19:$AB$332,0),"")&amp;IF(J19=6,RANK(L19,$AC$19:$AC$332,0),"")&amp;IF(J19=7,RANK(L19,$AD$19:$AD$332,0),"")&amp;IF(J19=8,RANK(L19,$AE$19:$AE$332,0),"")&amp;IF(J19=9,RANK(L19,$AF$19:$AF$332,0),"")&amp;IF(J19=10,RANK(L19,$AG$19:$AG$332,0),"")&amp;IF(J19=11,RANK(L19,$AH$19:$AH$332,0)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29</v>
      </c>
      <c r="D20" s="9" t="s">
        <v>30</v>
      </c>
      <c r="E20" s="9" t="s">
        <v>31</v>
      </c>
      <c r="F20" s="9">
        <v>3099460100</v>
      </c>
      <c r="G20" s="9" t="s">
        <v>28</v>
      </c>
      <c r="H20" s="27"/>
      <c r="I20" s="6">
        <v>8</v>
      </c>
      <c r="J20" s="6">
        <v>8</v>
      </c>
      <c r="K20" s="9">
        <v>48</v>
      </c>
      <c r="L20" s="7"/>
      <c r="M20" s="41">
        <v>2</v>
      </c>
      <c r="N20" s="9" t="s">
        <v>56</v>
      </c>
      <c r="Z20" s="10">
        <f t="shared" ref="Z20" si="4">IF(N20="победитель",1+J20,IF(N20="призер",100+J20,""))</f>
        <v>108</v>
      </c>
      <c r="AA20" s="10" t="str">
        <f t="shared" ref="AA20" si="5">IF(J20=4,L20,"")</f>
        <v/>
      </c>
      <c r="AB20" s="10" t="str">
        <f t="shared" ref="AB20" si="6">IF(J20=5,L20,"")</f>
        <v/>
      </c>
      <c r="AC20" s="10" t="str">
        <f t="shared" ref="AC20" si="7">IF(J20=6,L20,"")</f>
        <v/>
      </c>
      <c r="AD20" s="10" t="str">
        <f t="shared" ref="AD20" si="8">IF(J20=7,L20,"")</f>
        <v/>
      </c>
      <c r="AE20" s="10">
        <f t="shared" ref="AE20" si="9">IF(J20=8,L20,"")</f>
        <v>0</v>
      </c>
      <c r="AF20" s="10" t="str">
        <f t="shared" ref="AF20" si="10">IF(J20=9,L20,"")</f>
        <v/>
      </c>
      <c r="AG20" s="10" t="str">
        <f t="shared" ref="AG20" si="11">IF(J20=10,L20,"")</f>
        <v/>
      </c>
      <c r="AH20" s="10" t="str">
        <f t="shared" ref="AH20" si="12">IF(J20=11,L20,"")</f>
        <v/>
      </c>
      <c r="AI20" s="13" t="str">
        <f>IF(J20=4,RANK(L20,$AA$19:$AA$332,0),"")&amp;IF(J20=5,RANK(L20,$AB$19:$AB$332,0),"")&amp;IF(J20=6,RANK(L20,$AC$19:$AC$332,0),"")&amp;IF(J20=7,RANK(L20,$AD$19:$AD$332,0),"")&amp;IF(J20=8,RANK(L20,$AE$19:$AE$332,0),"")&amp;IF(J20=9,RANK(L20,$AF$19:$AF$332,0),"")&amp;IF(J20=10,RANK(L20,$AG$19:$AG$332,0),"")&amp;IF(J20=11,RANK(L20,$AH$19:$AH$332,0),"")</f>
        <v>1</v>
      </c>
      <c r="AJ20" s="11">
        <f t="shared" ref="AJ20" si="13">AI20+1-1</f>
        <v>1</v>
      </c>
    </row>
    <row r="21" spans="1:36" x14ac:dyDescent="0.25">
      <c r="A21" s="1">
        <v>3</v>
      </c>
      <c r="B21" s="4">
        <v>48</v>
      </c>
      <c r="C21" s="9" t="s">
        <v>32</v>
      </c>
      <c r="D21" s="9" t="s">
        <v>33</v>
      </c>
      <c r="E21" s="9" t="s">
        <v>34</v>
      </c>
      <c r="F21" s="9">
        <v>3676656448</v>
      </c>
      <c r="G21" s="9" t="s">
        <v>28</v>
      </c>
      <c r="H21" s="27"/>
      <c r="I21" s="6">
        <v>8</v>
      </c>
      <c r="J21" s="6">
        <v>8</v>
      </c>
      <c r="K21" s="9">
        <v>32</v>
      </c>
      <c r="L21" s="27"/>
      <c r="M21" s="42">
        <v>3</v>
      </c>
      <c r="N21" s="9" t="s">
        <v>57</v>
      </c>
      <c r="Z21" s="10" t="str">
        <f t="shared" ref="Z21" si="14">IF(N21="победитель",1+J21,IF(N21="призер",100+J21,""))</f>
        <v/>
      </c>
      <c r="AA21" s="10" t="str">
        <f t="shared" ref="AA21" si="15">IF(J21=4,L21,"")</f>
        <v/>
      </c>
      <c r="AB21" s="10" t="str">
        <f t="shared" ref="AB21" si="16">IF(J21=5,L21,"")</f>
        <v/>
      </c>
      <c r="AC21" s="10" t="str">
        <f t="shared" ref="AC21" si="17">IF(J21=6,L21,"")</f>
        <v/>
      </c>
      <c r="AD21" s="10" t="str">
        <f t="shared" ref="AD21" si="18">IF(J21=7,L21,"")</f>
        <v/>
      </c>
      <c r="AE21" s="10">
        <f t="shared" ref="AE21" si="19">IF(J21=8,L21,"")</f>
        <v>0</v>
      </c>
      <c r="AF21" s="10" t="str">
        <f t="shared" ref="AF21" si="20">IF(J21=9,L21,"")</f>
        <v/>
      </c>
      <c r="AG21" s="10" t="str">
        <f t="shared" ref="AG21" si="21">IF(J21=10,L21,"")</f>
        <v/>
      </c>
      <c r="AH21" s="10" t="str">
        <f t="shared" ref="AH21" si="22">IF(J21=11,L21,"")</f>
        <v/>
      </c>
      <c r="AI21" s="13" t="str">
        <f>IF(J21=4,RANK(L21,$AA$19:$AA$332,0),"")&amp;IF(J21=5,RANK(L21,$AB$19:$AB$332,0),"")&amp;IF(J21=6,RANK(L21,$AC$19:$AC$332,0),"")&amp;IF(J21=7,RANK(L21,$AD$19:$AD$332,0),"")&amp;IF(J21=8,RANK(L21,$AE$19:$AE$332,0),"")&amp;IF(J21=9,RANK(L21,$AF$19:$AF$332,0),"")&amp;IF(J21=10,RANK(L21,$AG$19:$AG$332,0),"")&amp;IF(J21=11,RANK(L21,$AH$19:$AH$332,0),"")</f>
        <v>1</v>
      </c>
      <c r="AJ21" s="11">
        <f t="shared" ref="AJ21" si="23">AI21+1-1</f>
        <v>1</v>
      </c>
    </row>
    <row r="22" spans="1:36" x14ac:dyDescent="0.25">
      <c r="A22" s="1">
        <v>4</v>
      </c>
      <c r="B22" s="4">
        <v>48</v>
      </c>
      <c r="C22" s="9" t="s">
        <v>35</v>
      </c>
      <c r="D22" s="9" t="s">
        <v>36</v>
      </c>
      <c r="E22" s="9" t="s">
        <v>37</v>
      </c>
      <c r="F22" s="9">
        <v>3218327069</v>
      </c>
      <c r="G22" s="9" t="s">
        <v>28</v>
      </c>
      <c r="H22" s="27"/>
      <c r="I22" s="6">
        <v>8</v>
      </c>
      <c r="J22" s="6">
        <v>8</v>
      </c>
      <c r="K22" s="9">
        <v>27</v>
      </c>
      <c r="L22" s="27"/>
      <c r="M22" s="41">
        <v>4</v>
      </c>
      <c r="N22" s="9" t="s">
        <v>57</v>
      </c>
    </row>
    <row r="23" spans="1:36" x14ac:dyDescent="0.25">
      <c r="A23" s="1">
        <v>5</v>
      </c>
      <c r="B23" s="4">
        <v>48</v>
      </c>
      <c r="C23" s="9" t="s">
        <v>38</v>
      </c>
      <c r="D23" s="9" t="s">
        <v>39</v>
      </c>
      <c r="E23" s="9" t="s">
        <v>40</v>
      </c>
      <c r="F23" s="9">
        <v>3365949195</v>
      </c>
      <c r="G23" s="9" t="s">
        <v>28</v>
      </c>
      <c r="H23" s="27"/>
      <c r="I23" s="6">
        <v>8</v>
      </c>
      <c r="J23" s="6">
        <v>8</v>
      </c>
      <c r="K23" s="9">
        <v>19</v>
      </c>
      <c r="L23" s="27"/>
      <c r="M23" s="41">
        <v>5</v>
      </c>
      <c r="N23" s="9" t="s">
        <v>57</v>
      </c>
    </row>
    <row r="24" spans="1:36" x14ac:dyDescent="0.25">
      <c r="A24" s="1">
        <v>6</v>
      </c>
      <c r="B24" s="4">
        <v>48</v>
      </c>
      <c r="C24" s="9" t="s">
        <v>41</v>
      </c>
      <c r="D24" s="9" t="s">
        <v>42</v>
      </c>
      <c r="E24" s="9" t="s">
        <v>43</v>
      </c>
      <c r="F24" s="9">
        <v>3084501671</v>
      </c>
      <c r="G24" s="9" t="s">
        <v>28</v>
      </c>
      <c r="H24" s="27"/>
      <c r="I24" s="6">
        <v>8</v>
      </c>
      <c r="J24" s="6">
        <v>8</v>
      </c>
      <c r="K24" s="9">
        <v>15</v>
      </c>
      <c r="L24" s="27"/>
      <c r="M24" s="42">
        <v>6</v>
      </c>
      <c r="N24" s="9" t="s">
        <v>57</v>
      </c>
    </row>
    <row r="25" spans="1:36" x14ac:dyDescent="0.25">
      <c r="A25" s="1">
        <v>7</v>
      </c>
      <c r="B25" s="4">
        <v>48</v>
      </c>
      <c r="C25" s="9" t="s">
        <v>44</v>
      </c>
      <c r="D25" s="9" t="s">
        <v>45</v>
      </c>
      <c r="E25" s="9" t="s">
        <v>46</v>
      </c>
      <c r="F25" s="9">
        <v>331173644</v>
      </c>
      <c r="G25" s="9" t="s">
        <v>28</v>
      </c>
      <c r="H25" s="27"/>
      <c r="I25" s="6">
        <v>8</v>
      </c>
      <c r="J25" s="6">
        <v>8</v>
      </c>
      <c r="K25" s="9">
        <v>9</v>
      </c>
      <c r="L25" s="27"/>
      <c r="M25" s="41">
        <v>7</v>
      </c>
      <c r="N25" s="9" t="s">
        <v>57</v>
      </c>
    </row>
    <row r="26" spans="1:36" x14ac:dyDescent="0.25">
      <c r="A26" s="1">
        <v>8</v>
      </c>
      <c r="B26" s="4">
        <v>48</v>
      </c>
      <c r="C26" s="9" t="s">
        <v>47</v>
      </c>
      <c r="D26" s="9" t="s">
        <v>48</v>
      </c>
      <c r="E26" s="9" t="s">
        <v>43</v>
      </c>
      <c r="F26" s="9">
        <v>2475905479</v>
      </c>
      <c r="G26" s="9" t="s">
        <v>28</v>
      </c>
      <c r="H26" s="27"/>
      <c r="I26" s="6">
        <v>8</v>
      </c>
      <c r="J26" s="6">
        <v>8</v>
      </c>
      <c r="K26" s="9">
        <v>7</v>
      </c>
      <c r="L26" s="27"/>
      <c r="M26" s="41">
        <v>8</v>
      </c>
      <c r="N26" s="9" t="s">
        <v>57</v>
      </c>
    </row>
    <row r="27" spans="1:36" x14ac:dyDescent="0.25">
      <c r="A27" s="1">
        <v>9</v>
      </c>
      <c r="B27" s="4">
        <v>48</v>
      </c>
      <c r="C27" s="9" t="s">
        <v>49</v>
      </c>
      <c r="D27" s="9" t="s">
        <v>36</v>
      </c>
      <c r="E27" s="9" t="s">
        <v>37</v>
      </c>
      <c r="F27" s="9">
        <v>1483467546</v>
      </c>
      <c r="G27" s="9" t="s">
        <v>28</v>
      </c>
      <c r="H27" s="27"/>
      <c r="I27" s="6">
        <v>8</v>
      </c>
      <c r="J27" s="6">
        <v>8</v>
      </c>
      <c r="K27" s="9">
        <v>4</v>
      </c>
      <c r="L27" s="27"/>
      <c r="M27" s="42">
        <v>9</v>
      </c>
      <c r="N27" s="9" t="s">
        <v>57</v>
      </c>
    </row>
    <row r="28" spans="1:36" x14ac:dyDescent="0.25">
      <c r="A28" s="1">
        <v>10</v>
      </c>
      <c r="B28" s="4">
        <v>48</v>
      </c>
      <c r="C28" s="9" t="s">
        <v>50</v>
      </c>
      <c r="D28" s="9" t="s">
        <v>36</v>
      </c>
      <c r="E28" s="9" t="s">
        <v>51</v>
      </c>
      <c r="F28" s="9">
        <v>3751263834</v>
      </c>
      <c r="G28" s="9" t="s">
        <v>52</v>
      </c>
      <c r="H28" s="27"/>
      <c r="I28" s="6">
        <v>8</v>
      </c>
      <c r="J28" s="6">
        <v>8</v>
      </c>
      <c r="K28" s="27"/>
      <c r="L28" s="27"/>
      <c r="M28" s="41">
        <v>10</v>
      </c>
      <c r="N28" s="9" t="s">
        <v>58</v>
      </c>
    </row>
    <row r="29" spans="1:36" x14ac:dyDescent="0.25">
      <c r="A29" s="1">
        <v>11</v>
      </c>
      <c r="B29" s="4">
        <v>48</v>
      </c>
      <c r="C29" s="9" t="s">
        <v>53</v>
      </c>
      <c r="D29" s="9" t="s">
        <v>54</v>
      </c>
      <c r="E29" s="9" t="s">
        <v>37</v>
      </c>
      <c r="F29" s="9">
        <v>1566999619</v>
      </c>
      <c r="G29" s="9" t="s">
        <v>52</v>
      </c>
      <c r="H29" s="27"/>
      <c r="I29" s="6">
        <v>8</v>
      </c>
      <c r="J29" s="6">
        <v>8</v>
      </c>
      <c r="K29" s="27"/>
      <c r="L29" s="27"/>
      <c r="M29" s="41">
        <v>11</v>
      </c>
      <c r="N29" s="9" t="s">
        <v>58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19:L20">
    <cfRule type="cellIs" dxfId="2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J22"/>
  <sheetViews>
    <sheetView zoomScale="90" zoomScaleNormal="90" workbookViewId="0">
      <selection activeCell="J34" sqref="J34"/>
    </sheetView>
  </sheetViews>
  <sheetFormatPr defaultRowHeight="15" x14ac:dyDescent="0.25"/>
  <cols>
    <col min="1" max="1" width="5.5703125" customWidth="1"/>
    <col min="2" max="2" width="8.140625" bestFit="1" customWidth="1"/>
    <col min="3" max="3" width="15.7109375" customWidth="1"/>
    <col min="4" max="4" width="13.85546875" customWidth="1"/>
    <col min="5" max="5" width="15.140625" customWidth="1"/>
    <col min="6" max="6" width="14.5703125" customWidth="1"/>
    <col min="7" max="7" width="28.42578125" customWidth="1"/>
    <col min="8" max="8" width="29.28515625" bestFit="1" customWidth="1"/>
    <col min="9" max="9" width="7.140625" customWidth="1"/>
    <col min="10" max="10" width="8.28515625" customWidth="1"/>
    <col min="11" max="11" width="8.5703125" bestFit="1" customWidth="1"/>
    <col min="12" max="13" width="7.7109375" bestFit="1" customWidth="1"/>
    <col min="14" max="14" width="12" customWidth="1"/>
  </cols>
  <sheetData>
    <row r="6" spans="1:36" ht="15" customHeight="1" x14ac:dyDescent="0.25">
      <c r="A6" s="30"/>
      <c r="B6" s="31"/>
      <c r="C6" s="28" t="s">
        <v>14</v>
      </c>
      <c r="D6" s="34"/>
      <c r="E6" s="34"/>
      <c r="F6" s="34"/>
      <c r="G6" s="29"/>
      <c r="H6" s="35" t="s">
        <v>15</v>
      </c>
      <c r="I6" s="37" t="s">
        <v>16</v>
      </c>
      <c r="J6" s="38"/>
    </row>
    <row r="7" spans="1:36" ht="15" customHeight="1" x14ac:dyDescent="0.25">
      <c r="A7" s="32"/>
      <c r="B7" s="33"/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21</v>
      </c>
      <c r="H7" s="36"/>
      <c r="I7" s="39" t="s">
        <v>22</v>
      </c>
      <c r="J7" s="40"/>
    </row>
    <row r="8" spans="1:36" x14ac:dyDescent="0.25">
      <c r="A8" s="15">
        <v>4</v>
      </c>
      <c r="B8" s="16" t="s">
        <v>23</v>
      </c>
      <c r="C8" s="17">
        <f>COUNTIF(J19:J872,4)</f>
        <v>0</v>
      </c>
      <c r="D8" s="17">
        <f>COUNTIF($Z$19:$Z$872,5)</f>
        <v>0</v>
      </c>
      <c r="E8" s="17">
        <f>COUNTIF($Z$19:$Z$872,104)</f>
        <v>0</v>
      </c>
      <c r="F8" s="17">
        <f>SUM(D8:E8)</f>
        <v>0</v>
      </c>
      <c r="G8" s="15">
        <f t="shared" ref="G8:G15" si="0">C8-D8-E8</f>
        <v>0</v>
      </c>
      <c r="H8" s="17"/>
      <c r="I8" s="18"/>
      <c r="J8" s="19">
        <f t="shared" ref="J8:J15" si="1">ROUND(IF(C8=0,0,(IF(AND(C8&lt;=2,C8&gt;0),1,C8*0.45))),0)</f>
        <v>0</v>
      </c>
      <c r="Z8" s="10"/>
      <c r="AA8" s="10"/>
      <c r="AB8" s="10"/>
      <c r="AC8" s="10"/>
      <c r="AD8" s="10"/>
      <c r="AE8" s="10"/>
      <c r="AF8" s="10"/>
      <c r="AG8" s="10"/>
      <c r="AH8" s="11"/>
      <c r="AI8" s="11">
        <f>I8+1-1</f>
        <v>0</v>
      </c>
      <c r="AJ8" s="11">
        <f>J8+1-1</f>
        <v>0</v>
      </c>
    </row>
    <row r="9" spans="1:36" x14ac:dyDescent="0.25">
      <c r="A9" s="15">
        <v>5</v>
      </c>
      <c r="B9" s="16" t="s">
        <v>23</v>
      </c>
      <c r="C9" s="17">
        <f>COUNTIF(J19:J873,5)</f>
        <v>0</v>
      </c>
      <c r="D9" s="17">
        <f>COUNTIF($Z$19:$Z$872,6)</f>
        <v>0</v>
      </c>
      <c r="E9" s="17">
        <f>COUNTIF($Z$19:$Z$872,105)</f>
        <v>0</v>
      </c>
      <c r="F9" s="17">
        <f t="shared" ref="F9:F16" si="2">SUM(D9:E9)</f>
        <v>0</v>
      </c>
      <c r="G9" s="15">
        <f t="shared" si="0"/>
        <v>0</v>
      </c>
      <c r="H9" s="20"/>
      <c r="I9" s="18"/>
      <c r="J9" s="19">
        <f t="shared" si="1"/>
        <v>0</v>
      </c>
      <c r="Z9" s="10"/>
      <c r="AA9" s="10"/>
      <c r="AB9" s="10"/>
      <c r="AC9" s="10"/>
      <c r="AD9" s="10"/>
      <c r="AE9" s="10"/>
      <c r="AF9" s="10"/>
      <c r="AG9" s="10"/>
      <c r="AH9" s="11"/>
      <c r="AI9" s="11">
        <f t="shared" ref="AI9:AJ15" si="3">I9+1-1</f>
        <v>0</v>
      </c>
      <c r="AJ9" s="11">
        <f t="shared" si="3"/>
        <v>0</v>
      </c>
    </row>
    <row r="10" spans="1:36" x14ac:dyDescent="0.25">
      <c r="A10" s="15">
        <v>6</v>
      </c>
      <c r="B10" s="16" t="s">
        <v>23</v>
      </c>
      <c r="C10" s="17">
        <f>COUNTIF(J19:J874,6)</f>
        <v>0</v>
      </c>
      <c r="D10" s="17">
        <f>COUNTIF($Z$19:$Z$872,7)</f>
        <v>0</v>
      </c>
      <c r="E10" s="17">
        <f>COUNTIF($Z$19:$Z$872,106)</f>
        <v>0</v>
      </c>
      <c r="F10" s="17">
        <f t="shared" si="2"/>
        <v>0</v>
      </c>
      <c r="G10" s="15">
        <f t="shared" si="0"/>
        <v>0</v>
      </c>
      <c r="H10" s="21"/>
      <c r="I10" s="22"/>
      <c r="J10" s="19">
        <f t="shared" si="1"/>
        <v>0</v>
      </c>
      <c r="Z10" s="10"/>
      <c r="AA10" s="10"/>
      <c r="AB10" s="10"/>
      <c r="AC10" s="10"/>
      <c r="AD10" s="10"/>
      <c r="AE10" s="10"/>
      <c r="AF10" s="10"/>
      <c r="AG10" s="10"/>
      <c r="AH10" s="11"/>
      <c r="AI10" s="11">
        <f t="shared" si="3"/>
        <v>0</v>
      </c>
      <c r="AJ10" s="11">
        <f t="shared" si="3"/>
        <v>0</v>
      </c>
    </row>
    <row r="11" spans="1:36" x14ac:dyDescent="0.25">
      <c r="A11" s="15">
        <v>7</v>
      </c>
      <c r="B11" s="16" t="s">
        <v>23</v>
      </c>
      <c r="C11" s="17">
        <f>COUNTIF(J19:J875,7)</f>
        <v>0</v>
      </c>
      <c r="D11" s="17">
        <f>COUNTIF($Z$19:$Z$872,8)</f>
        <v>0</v>
      </c>
      <c r="E11" s="17">
        <f>COUNTIF($Z$19:$Z$872,107)</f>
        <v>0</v>
      </c>
      <c r="F11" s="17">
        <f t="shared" si="2"/>
        <v>0</v>
      </c>
      <c r="G11" s="15">
        <f t="shared" si="0"/>
        <v>0</v>
      </c>
      <c r="H11" s="21"/>
      <c r="I11" s="22"/>
      <c r="J11" s="19">
        <f t="shared" si="1"/>
        <v>0</v>
      </c>
      <c r="Z11" s="10"/>
      <c r="AA11" s="10"/>
      <c r="AB11" s="10"/>
      <c r="AC11" s="10"/>
      <c r="AD11" s="10"/>
      <c r="AE11" s="10"/>
      <c r="AF11" s="10"/>
      <c r="AG11" s="10"/>
      <c r="AH11" s="11"/>
      <c r="AI11" s="11">
        <f t="shared" si="3"/>
        <v>0</v>
      </c>
      <c r="AJ11" s="11">
        <f t="shared" si="3"/>
        <v>0</v>
      </c>
    </row>
    <row r="12" spans="1:36" x14ac:dyDescent="0.25">
      <c r="A12" s="15">
        <v>8</v>
      </c>
      <c r="B12" s="16" t="s">
        <v>23</v>
      </c>
      <c r="C12" s="17">
        <f>COUNTIF(J19:J876,8)</f>
        <v>0</v>
      </c>
      <c r="D12" s="17">
        <f>COUNTIF($Z$19:$Z$872,9)</f>
        <v>0</v>
      </c>
      <c r="E12" s="17">
        <f>COUNTIF($Z$19:$Z$872,108)</f>
        <v>0</v>
      </c>
      <c r="F12" s="17">
        <f t="shared" si="2"/>
        <v>0</v>
      </c>
      <c r="G12" s="15">
        <f t="shared" si="0"/>
        <v>0</v>
      </c>
      <c r="H12" s="21"/>
      <c r="I12" s="22"/>
      <c r="J12" s="19">
        <f t="shared" si="1"/>
        <v>0</v>
      </c>
      <c r="Z12" s="10"/>
      <c r="AA12" s="10"/>
      <c r="AB12" s="10"/>
      <c r="AC12" s="10"/>
      <c r="AD12" s="10"/>
      <c r="AE12" s="10"/>
      <c r="AF12" s="10"/>
      <c r="AG12" s="10"/>
      <c r="AH12" s="11"/>
      <c r="AI12" s="11">
        <f t="shared" si="3"/>
        <v>0</v>
      </c>
      <c r="AJ12" s="11">
        <f t="shared" si="3"/>
        <v>0</v>
      </c>
    </row>
    <row r="13" spans="1:36" x14ac:dyDescent="0.25">
      <c r="A13" s="15">
        <v>9</v>
      </c>
      <c r="B13" s="16" t="s">
        <v>23</v>
      </c>
      <c r="C13" s="17">
        <f>COUNTIF(J19:J877,9)</f>
        <v>4</v>
      </c>
      <c r="D13" s="17">
        <f>COUNTIF($Z$19:$Z$872,10)</f>
        <v>1</v>
      </c>
      <c r="E13" s="17">
        <f>COUNTIF($Z$19:$Z$872,109)</f>
        <v>1</v>
      </c>
      <c r="F13" s="17">
        <f t="shared" si="2"/>
        <v>2</v>
      </c>
      <c r="G13" s="15">
        <f t="shared" si="0"/>
        <v>2</v>
      </c>
      <c r="H13" s="21"/>
      <c r="I13" s="22"/>
      <c r="J13" s="19">
        <f t="shared" si="1"/>
        <v>2</v>
      </c>
      <c r="Z13" s="10"/>
      <c r="AA13" s="10"/>
      <c r="AB13" s="10"/>
      <c r="AC13" s="10"/>
      <c r="AD13" s="10"/>
      <c r="AE13" s="10"/>
      <c r="AF13" s="10"/>
      <c r="AG13" s="10"/>
      <c r="AH13" s="11"/>
      <c r="AI13" s="11">
        <f t="shared" si="3"/>
        <v>0</v>
      </c>
      <c r="AJ13" s="11">
        <f t="shared" si="3"/>
        <v>2</v>
      </c>
    </row>
    <row r="14" spans="1:36" x14ac:dyDescent="0.25">
      <c r="A14" s="15">
        <v>10</v>
      </c>
      <c r="B14" s="16" t="s">
        <v>23</v>
      </c>
      <c r="C14" s="17">
        <f>COUNTIF(J19:J878,10)</f>
        <v>0</v>
      </c>
      <c r="D14" s="17">
        <f>COUNTIF($Z$19:$Z$872,11)</f>
        <v>0</v>
      </c>
      <c r="E14" s="17">
        <f>COUNTIF($Z$19:$Z$872,110)</f>
        <v>0</v>
      </c>
      <c r="F14" s="17">
        <f t="shared" si="2"/>
        <v>0</v>
      </c>
      <c r="G14" s="15">
        <f t="shared" si="0"/>
        <v>0</v>
      </c>
      <c r="H14" s="21"/>
      <c r="I14" s="22"/>
      <c r="J14" s="19">
        <f t="shared" si="1"/>
        <v>0</v>
      </c>
      <c r="Z14" s="10"/>
      <c r="AA14" s="10"/>
      <c r="AB14" s="10"/>
      <c r="AC14" s="10"/>
      <c r="AD14" s="10"/>
      <c r="AE14" s="10"/>
      <c r="AF14" s="10"/>
      <c r="AG14" s="10"/>
      <c r="AH14" s="11"/>
      <c r="AI14" s="11">
        <f t="shared" si="3"/>
        <v>0</v>
      </c>
      <c r="AJ14" s="11">
        <f t="shared" si="3"/>
        <v>0</v>
      </c>
    </row>
    <row r="15" spans="1:36" x14ac:dyDescent="0.25">
      <c r="A15" s="15">
        <v>11</v>
      </c>
      <c r="B15" s="16" t="s">
        <v>23</v>
      </c>
      <c r="C15" s="17">
        <f>COUNTIF(J19:J879,11)</f>
        <v>0</v>
      </c>
      <c r="D15" s="17">
        <f>COUNTIF($Z$19:$Z$872,12)</f>
        <v>0</v>
      </c>
      <c r="E15" s="17">
        <f>COUNTIF($Z$19:$Z$872,111)</f>
        <v>0</v>
      </c>
      <c r="F15" s="17">
        <f t="shared" si="2"/>
        <v>0</v>
      </c>
      <c r="G15" s="15">
        <f t="shared" si="0"/>
        <v>0</v>
      </c>
      <c r="H15" s="21"/>
      <c r="I15" s="22"/>
      <c r="J15" s="19">
        <f t="shared" si="1"/>
        <v>0</v>
      </c>
      <c r="Z15" s="10"/>
      <c r="AA15" s="10"/>
      <c r="AB15" s="10"/>
      <c r="AC15" s="10"/>
      <c r="AD15" s="10"/>
      <c r="AE15" s="10"/>
      <c r="AF15" s="10"/>
      <c r="AG15" s="10"/>
      <c r="AH15" s="11"/>
      <c r="AI15" s="11">
        <f t="shared" si="3"/>
        <v>0</v>
      </c>
      <c r="AJ15" s="11">
        <f t="shared" si="3"/>
        <v>0</v>
      </c>
    </row>
    <row r="16" spans="1:36" x14ac:dyDescent="0.25">
      <c r="A16" s="28" t="s">
        <v>24</v>
      </c>
      <c r="B16" s="29"/>
      <c r="C16" s="17">
        <f>SUM(C8:C15)</f>
        <v>4</v>
      </c>
      <c r="D16" s="17">
        <f>COUNTIF($N$19:$N$20,"победитель")</f>
        <v>1</v>
      </c>
      <c r="E16" s="17">
        <f>COUNTIF($N$19:$N$20,"призер")</f>
        <v>1</v>
      </c>
      <c r="F16" s="17">
        <f t="shared" si="2"/>
        <v>2</v>
      </c>
      <c r="G16" s="23">
        <f>SUM(G8:G15)</f>
        <v>2</v>
      </c>
      <c r="H16" s="24"/>
      <c r="I16" s="25"/>
      <c r="J16" s="26">
        <f>SUM(J8:J15)</f>
        <v>2</v>
      </c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0"/>
    </row>
    <row r="17" spans="1:36" x14ac:dyDescent="0.25"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0"/>
    </row>
    <row r="18" spans="1:36" ht="91.5" x14ac:dyDescent="0.25">
      <c r="A18" s="1" t="s">
        <v>0</v>
      </c>
      <c r="B18" s="1" t="s">
        <v>1</v>
      </c>
      <c r="C18" s="2" t="s">
        <v>2</v>
      </c>
      <c r="D18" s="2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3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10"/>
    </row>
    <row r="19" spans="1:36" x14ac:dyDescent="0.25">
      <c r="A19" s="1">
        <v>1</v>
      </c>
      <c r="B19" s="4">
        <v>48</v>
      </c>
      <c r="C19" s="9" t="s">
        <v>59</v>
      </c>
      <c r="D19" s="9" t="s">
        <v>60</v>
      </c>
      <c r="E19" s="9" t="s">
        <v>61</v>
      </c>
      <c r="F19" s="9">
        <v>1638102396</v>
      </c>
      <c r="G19" s="9" t="s">
        <v>28</v>
      </c>
      <c r="H19" s="5"/>
      <c r="I19" s="6">
        <v>9</v>
      </c>
      <c r="J19" s="6">
        <v>9</v>
      </c>
      <c r="K19" s="9">
        <v>52</v>
      </c>
      <c r="L19" s="7"/>
      <c r="M19" s="8" t="str">
        <f>IF(J19=4,RANK(L19,$AA$19:$AA$347,0)+COUNTIF($AA$1:AA18,AA19),"")&amp;IF(J19=5,RANK(L19,$AB$19:$AB$347,0)+COUNTIF($AB$1:AB18,AB19),"")&amp;IF(J19=6,RANK(L19,$AC$19:$AC$347,0)+COUNTIF($AC$1:AC18,AC19),"")&amp;IF(J19=7,RANK(L19,$AD$19:$AD$347,0)+COUNTIF($AD$1:AD18,AD19),"")&amp;IF(J19=8,RANK(L19,$AE$19:$AE$347,0)+COUNTIF($AE$1:AE18,AE19),"")&amp;IF(J19=9,RANK(L19,$AF$19:$AF$347,0)+COUNTIF($AF$1:AF18,AF19),"")&amp;IF(J19=10,RANK(L19,$AG$19:$AG$347,0)+COUNTIF($AG$1:AG18,AG19),"")&amp;IF(J19=11,RANK(L19,$AH$19:$AH$347,0)+COUNTIF($AH$1:AH18,AH19),"")</f>
        <v>1</v>
      </c>
      <c r="N19" s="9" t="s">
        <v>55</v>
      </c>
      <c r="Z19" s="10">
        <f>IF(N19="победитель",1+J19,IF(N19="призер",100+J19,""))</f>
        <v>10</v>
      </c>
      <c r="AA19" s="10" t="str">
        <f>IF(J19=4,L19,"")</f>
        <v/>
      </c>
      <c r="AB19" s="10" t="str">
        <f>IF(J19=5,L19,"")</f>
        <v/>
      </c>
      <c r="AC19" s="10" t="str">
        <f>IF(J19=6,L19,"")</f>
        <v/>
      </c>
      <c r="AD19" s="10" t="str">
        <f>IF(J19=7,L19,"")</f>
        <v/>
      </c>
      <c r="AE19" s="10" t="str">
        <f>IF(J19=8,L19,"")</f>
        <v/>
      </c>
      <c r="AF19" s="10">
        <f>IF(J19=9,L19,"")</f>
        <v>0</v>
      </c>
      <c r="AG19" s="10" t="str">
        <f>IF(J19=10,L19,"")</f>
        <v/>
      </c>
      <c r="AH19" s="10" t="str">
        <f>IF(J19=11,L19,"")</f>
        <v/>
      </c>
      <c r="AI19" s="13" t="str">
        <f>IF(J19=4,RANK(L19,$AA$19:$AA$347,0),"")&amp;IF(J19=5,RANK(L19,$AB$19:$AB$347,0),"")&amp;IF(J19=6,RANK(L19,$AC$19:$AC$347,0),"")&amp;IF(J19=7,RANK(L19,$AD$19:$AD$347,0),"")&amp;IF(J19=8,RANK(L19,$AE$19:$AE$347,0),"")&amp;IF(J19=9,RANK(L19,$AF$19:$AF$347,0),"")&amp;IF(J19=10,RANK(L19,$AG$19:$AG$347,0),"")&amp;IF(J19=11,RANK(L19,$AH$19:$AH$347,0),"")</f>
        <v>1</v>
      </c>
      <c r="AJ19" s="11">
        <f>AI19+1-1</f>
        <v>1</v>
      </c>
    </row>
    <row r="20" spans="1:36" x14ac:dyDescent="0.25">
      <c r="A20" s="1">
        <v>2</v>
      </c>
      <c r="B20" s="4">
        <v>48</v>
      </c>
      <c r="C20" s="9" t="s">
        <v>62</v>
      </c>
      <c r="D20" s="9" t="s">
        <v>63</v>
      </c>
      <c r="E20" s="9" t="s">
        <v>64</v>
      </c>
      <c r="F20" s="9">
        <v>2411486583</v>
      </c>
      <c r="G20" s="9" t="s">
        <v>28</v>
      </c>
      <c r="H20" s="27"/>
      <c r="I20" s="6">
        <v>9</v>
      </c>
      <c r="J20" s="6">
        <v>9</v>
      </c>
      <c r="K20" s="9">
        <v>49</v>
      </c>
      <c r="L20" s="7"/>
      <c r="M20" s="8" t="str">
        <f>IF(J20=4,RANK(L20,$AA$19:$AA$347,0)+COUNTIF($AA$1:AA19,AA20),"")&amp;IF(J20=5,RANK(L20,$AB$19:$AB$347,0)+COUNTIF($AB$1:AB19,AB20),"")&amp;IF(J20=6,RANK(L20,$AC$19:$AC$347,0)+COUNTIF($AC$1:AC19,AC20),"")&amp;IF(J20=7,RANK(L20,$AD$19:$AD$347,0)+COUNTIF($AD$1:AD19,AD20),"")&amp;IF(J20=8,RANK(L20,$AE$19:$AE$347,0)+COUNTIF($AE$1:AE19,AE20),"")&amp;IF(J20=9,RANK(L20,$AF$19:$AF$347,0)+COUNTIF($AF$1:AF19,AF20),"")&amp;IF(J20=10,RANK(L20,$AG$19:$AG$347,0)+COUNTIF($AG$1:AG19,AG20),"")&amp;IF(J20=11,RANK(L20,$AH$19:$AH$347,0)+COUNTIF($AH$1:AH19,AH20),"")</f>
        <v>2</v>
      </c>
      <c r="N20" s="9" t="s">
        <v>56</v>
      </c>
      <c r="Z20" s="10">
        <f t="shared" ref="Z20" si="4">IF(N20="победитель",1+J20,IF(N20="призер",100+J20,""))</f>
        <v>109</v>
      </c>
      <c r="AA20" s="10" t="str">
        <f t="shared" ref="AA20" si="5">IF(J20=4,L20,"")</f>
        <v/>
      </c>
      <c r="AB20" s="10" t="str">
        <f t="shared" ref="AB20" si="6">IF(J20=5,L20,"")</f>
        <v/>
      </c>
      <c r="AC20" s="10" t="str">
        <f t="shared" ref="AC20" si="7">IF(J20=6,L20,"")</f>
        <v/>
      </c>
      <c r="AD20" s="10" t="str">
        <f t="shared" ref="AD20" si="8">IF(J20=7,L20,"")</f>
        <v/>
      </c>
      <c r="AE20" s="10" t="str">
        <f t="shared" ref="AE20" si="9">IF(J20=8,L20,"")</f>
        <v/>
      </c>
      <c r="AF20" s="10">
        <f t="shared" ref="AF20" si="10">IF(J20=9,L20,"")</f>
        <v>0</v>
      </c>
      <c r="AG20" s="10" t="str">
        <f t="shared" ref="AG20" si="11">IF(J20=10,L20,"")</f>
        <v/>
      </c>
      <c r="AH20" s="10" t="str">
        <f t="shared" ref="AH20" si="12">IF(J20=11,L20,"")</f>
        <v/>
      </c>
      <c r="AI20" s="13" t="str">
        <f>IF(J20=4,RANK(L20,$AA$19:$AA$347,0),"")&amp;IF(J20=5,RANK(L20,$AB$19:$AB$347,0),"")&amp;IF(J20=6,RANK(L20,$AC$19:$AC$347,0),"")&amp;IF(J20=7,RANK(L20,$AD$19:$AD$347,0),"")&amp;IF(J20=8,RANK(L20,$AE$19:$AE$347,0),"")&amp;IF(J20=9,RANK(L20,$AF$19:$AF$347,0),"")&amp;IF(J20=10,RANK(L20,$AG$19:$AG$347,0),"")&amp;IF(J20=11,RANK(L20,$AH$19:$AH$347,0),"")</f>
        <v>1</v>
      </c>
      <c r="AJ20" s="11">
        <f t="shared" ref="AJ20" si="13">AI20+1-1</f>
        <v>1</v>
      </c>
    </row>
    <row r="21" spans="1:36" x14ac:dyDescent="0.25">
      <c r="A21" s="1">
        <v>3</v>
      </c>
      <c r="B21" s="4">
        <v>48</v>
      </c>
      <c r="C21" s="9" t="s">
        <v>65</v>
      </c>
      <c r="D21" s="9" t="s">
        <v>66</v>
      </c>
      <c r="E21" s="9" t="s">
        <v>37</v>
      </c>
      <c r="F21" s="9">
        <v>2925166105</v>
      </c>
      <c r="G21" s="9" t="s">
        <v>28</v>
      </c>
      <c r="H21" s="27"/>
      <c r="I21" s="6">
        <v>9</v>
      </c>
      <c r="J21" s="6">
        <v>9</v>
      </c>
      <c r="K21" s="9">
        <v>27</v>
      </c>
      <c r="L21" s="27"/>
      <c r="M21" s="43">
        <v>3</v>
      </c>
      <c r="N21" s="9" t="s">
        <v>57</v>
      </c>
      <c r="Z21" s="10" t="str">
        <f t="shared" ref="Z21" si="14">IF(N21="победитель",1+J21,IF(N21="призер",100+J21,""))</f>
        <v/>
      </c>
      <c r="AA21" s="10" t="str">
        <f t="shared" ref="AA21" si="15">IF(J21=4,L21,"")</f>
        <v/>
      </c>
      <c r="AB21" s="10" t="str">
        <f t="shared" ref="AB21" si="16">IF(J21=5,L21,"")</f>
        <v/>
      </c>
      <c r="AC21" s="10" t="str">
        <f t="shared" ref="AC21" si="17">IF(J21=6,L21,"")</f>
        <v/>
      </c>
      <c r="AD21" s="10" t="str">
        <f t="shared" ref="AD21" si="18">IF(J21=7,L21,"")</f>
        <v/>
      </c>
      <c r="AE21" s="10" t="str">
        <f t="shared" ref="AE21" si="19">IF(J21=8,L21,"")</f>
        <v/>
      </c>
      <c r="AF21" s="10">
        <f t="shared" ref="AF21" si="20">IF(J21=9,L21,"")</f>
        <v>0</v>
      </c>
      <c r="AG21" s="10" t="str">
        <f t="shared" ref="AG21" si="21">IF(J21=10,L21,"")</f>
        <v/>
      </c>
      <c r="AH21" s="10" t="str">
        <f t="shared" ref="AH21" si="22">IF(J21=11,L21,"")</f>
        <v/>
      </c>
      <c r="AI21" s="13" t="str">
        <f>IF(J21=4,RANK(L21,$AA$19:$AA$347,0),"")&amp;IF(J21=5,RANK(L21,$AB$19:$AB$347,0),"")&amp;IF(J21=6,RANK(L21,$AC$19:$AC$347,0),"")&amp;IF(J21=7,RANK(L21,$AD$19:$AD$347,0),"")&amp;IF(J21=8,RANK(L21,$AE$19:$AE$347,0),"")&amp;IF(J21=9,RANK(L21,$AF$19:$AF$347,0),"")&amp;IF(J21=10,RANK(L21,$AG$19:$AG$347,0),"")&amp;IF(J21=11,RANK(L21,$AH$19:$AH$347,0),"")</f>
        <v>1</v>
      </c>
      <c r="AJ21" s="11">
        <f t="shared" ref="AJ21" si="23">AI21+1-1</f>
        <v>1</v>
      </c>
    </row>
    <row r="22" spans="1:36" x14ac:dyDescent="0.25">
      <c r="A22" s="1">
        <v>4</v>
      </c>
      <c r="B22" s="4">
        <v>48</v>
      </c>
      <c r="C22" s="9" t="s">
        <v>67</v>
      </c>
      <c r="D22" s="9" t="s">
        <v>68</v>
      </c>
      <c r="E22" s="9" t="s">
        <v>69</v>
      </c>
      <c r="F22" s="9">
        <v>1611938473</v>
      </c>
      <c r="G22" s="9" t="s">
        <v>28</v>
      </c>
      <c r="H22" s="27"/>
      <c r="I22" s="6">
        <v>9</v>
      </c>
      <c r="J22" s="6">
        <v>9</v>
      </c>
      <c r="K22" s="9">
        <v>19</v>
      </c>
      <c r="L22" s="27"/>
      <c r="M22" s="43">
        <v>4</v>
      </c>
      <c r="N22" s="9" t="s">
        <v>57</v>
      </c>
    </row>
  </sheetData>
  <mergeCells count="6">
    <mergeCell ref="A16:B16"/>
    <mergeCell ref="A6:B7"/>
    <mergeCell ref="C6:G6"/>
    <mergeCell ref="H6:H7"/>
    <mergeCell ref="I6:J6"/>
    <mergeCell ref="I7:J7"/>
  </mergeCells>
  <conditionalFormatting sqref="L20">
    <cfRule type="cellIs" dxfId="1" priority="3" operator="greaterThan">
      <formula>100</formula>
    </cfRule>
  </conditionalFormatting>
  <conditionalFormatting sqref="L19">
    <cfRule type="cellIs" dxfId="0" priority="2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класс</vt:lpstr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2020-11-18T06:41:52Z</dcterms:modified>
</cp:coreProperties>
</file>